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12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8" i="1"/>
  <c r="H29"/>
  <c r="E48"/>
  <c r="J41" s="1"/>
  <c r="I46"/>
  <c r="F53" s="1"/>
  <c r="I45"/>
  <c r="F52"/>
  <c r="I44"/>
  <c r="F51" s="1"/>
  <c r="G18"/>
  <c r="H46"/>
  <c r="E14"/>
  <c r="F18"/>
  <c r="H45" s="1"/>
  <c r="I22"/>
  <c r="E18"/>
  <c r="H44" s="1"/>
  <c r="J28" l="1"/>
  <c r="K28"/>
  <c r="G16"/>
  <c r="E53" s="1"/>
  <c r="E15"/>
  <c r="E50" l="1"/>
  <c r="E16"/>
  <c r="E17"/>
  <c r="E20" s="1"/>
  <c r="F16"/>
  <c r="E52" s="1"/>
  <c r="F19" l="1"/>
  <c r="G19"/>
  <c r="E19"/>
  <c r="E51"/>
  <c r="E34"/>
  <c r="H31"/>
  <c r="H32"/>
  <c r="J39" l="1"/>
  <c r="H30"/>
  <c r="J40"/>
  <c r="J31"/>
  <c r="K31"/>
  <c r="J32"/>
  <c r="K32"/>
  <c r="K29" l="1"/>
  <c r="J29"/>
  <c r="H34"/>
  <c r="J30"/>
  <c r="K30"/>
</calcChain>
</file>

<file path=xl/sharedStrings.xml><?xml version="1.0" encoding="utf-8"?>
<sst xmlns="http://schemas.openxmlformats.org/spreadsheetml/2006/main" count="115" uniqueCount="90">
  <si>
    <t>W1 =</t>
  </si>
  <si>
    <t>Ri</t>
  </si>
  <si>
    <t>Ra</t>
  </si>
  <si>
    <t>Rn</t>
  </si>
  <si>
    <t>Im</t>
  </si>
  <si>
    <t>E</t>
  </si>
  <si>
    <t>Qo</t>
  </si>
  <si>
    <t>lc</t>
  </si>
  <si>
    <t>Lmin</t>
  </si>
  <si>
    <t>mu</t>
  </si>
  <si>
    <t>Bm</t>
  </si>
  <si>
    <t>внутреннее сопротивление лампы</t>
  </si>
  <si>
    <t>сопротивление нагрузки</t>
  </si>
  <si>
    <t>ЭДС первички</t>
  </si>
  <si>
    <t>см.кв.</t>
  </si>
  <si>
    <t>В</t>
  </si>
  <si>
    <t>см</t>
  </si>
  <si>
    <t>Ом</t>
  </si>
  <si>
    <t>сечение окна</t>
  </si>
  <si>
    <t>максимальная амплитуда тока</t>
  </si>
  <si>
    <t>А</t>
  </si>
  <si>
    <t>средняя длина магнитной линии</t>
  </si>
  <si>
    <t xml:space="preserve">см </t>
  </si>
  <si>
    <t>средняя длина витка</t>
  </si>
  <si>
    <t>минимальная индуктивность первичной</t>
  </si>
  <si>
    <t>Гн</t>
  </si>
  <si>
    <t>магнитная проницаемость железа</t>
  </si>
  <si>
    <t>Гц</t>
  </si>
  <si>
    <t>максимальная индукция</t>
  </si>
  <si>
    <t>Гс</t>
  </si>
  <si>
    <t>Io</t>
  </si>
  <si>
    <t>постоянный ток покоя</t>
  </si>
  <si>
    <t>Qc=</t>
  </si>
  <si>
    <t>немагнитный зазор</t>
  </si>
  <si>
    <t>lz</t>
  </si>
  <si>
    <t>Pmax</t>
  </si>
  <si>
    <t>Вт</t>
  </si>
  <si>
    <t>B at 20 Hz =</t>
  </si>
  <si>
    <t>максимальная мощность на нагрузке</t>
  </si>
  <si>
    <t>приведенная анодная нагрузка</t>
  </si>
  <si>
    <t>B at 30Hz =</t>
  </si>
  <si>
    <t>Из  E макс</t>
  </si>
  <si>
    <t>1.</t>
  </si>
  <si>
    <t xml:space="preserve">2. </t>
  </si>
  <si>
    <t>Исходя из величины Qc из поля  H15 выбираем сердечник</t>
  </si>
  <si>
    <t>Qc</t>
  </si>
  <si>
    <t>Сечение выбранного сердечника</t>
  </si>
  <si>
    <t>и заполняем поля ниже, если необходимо, делаем замеры Bm</t>
  </si>
  <si>
    <t>КПД</t>
  </si>
  <si>
    <t>Ro</t>
  </si>
  <si>
    <t>Эта</t>
  </si>
  <si>
    <t>r1</t>
  </si>
  <si>
    <t>Rэ</t>
  </si>
  <si>
    <t>Fн</t>
  </si>
  <si>
    <t>Нижняя частота при -3дБ</t>
  </si>
  <si>
    <t>r2</t>
  </si>
  <si>
    <t>Акт сопротивление вторички</t>
  </si>
  <si>
    <t>Акт. Сопротивление первички</t>
  </si>
  <si>
    <t>lо</t>
  </si>
  <si>
    <t>Из Im</t>
  </si>
  <si>
    <t>W1=</t>
  </si>
  <si>
    <t>Андронников</t>
  </si>
  <si>
    <t>по буржуям</t>
  </si>
  <si>
    <t>Из  мин инд L</t>
  </si>
  <si>
    <t>Lfact</t>
  </si>
  <si>
    <t>3.</t>
  </si>
  <si>
    <t>4.</t>
  </si>
  <si>
    <t>Wсреднее</t>
  </si>
  <si>
    <t>Выбрали</t>
  </si>
  <si>
    <t>Lfact(lz)</t>
  </si>
  <si>
    <t>Диаметр провода первички</t>
  </si>
  <si>
    <t>мм</t>
  </si>
  <si>
    <t>d1</t>
  </si>
  <si>
    <t>Диаметр провода вторички</t>
  </si>
  <si>
    <t>Коэффициент трансформации</t>
  </si>
  <si>
    <t>n</t>
  </si>
  <si>
    <t>W2=</t>
  </si>
  <si>
    <t>см2</t>
  </si>
  <si>
    <t>ОДНОТАКТ</t>
  </si>
  <si>
    <t>Количество витков вторички</t>
  </si>
  <si>
    <t>количество витков первички</t>
  </si>
  <si>
    <t>(L*Io)2</t>
  </si>
  <si>
    <t>степень намагничивания сердечника</t>
  </si>
  <si>
    <t>Гн*мА2</t>
  </si>
  <si>
    <t>(контрольные величины )</t>
  </si>
  <si>
    <r>
      <t xml:space="preserve">Выбираем лампу, строим нагрузочную характеристику и заполняем данные ( </t>
    </r>
    <r>
      <rPr>
        <sz val="10"/>
        <color indexed="10"/>
        <rFont val="Courier"/>
        <family val="1"/>
        <charset val="204"/>
      </rPr>
      <t xml:space="preserve">залитые ЖЕЛТЫМ поля не заполняем </t>
    </r>
    <r>
      <rPr>
        <sz val="10"/>
        <rFont val="Courier"/>
        <family val="1"/>
        <charset val="204"/>
      </rPr>
      <t>! )</t>
    </r>
  </si>
  <si>
    <t>Коэффициент ООС</t>
  </si>
  <si>
    <t>Эквивалентное сопротивление нагдузки</t>
  </si>
  <si>
    <t>Рекомендуемое сечение магнитопровода</t>
  </si>
  <si>
    <t>( по буржуям )</t>
  </si>
</sst>
</file>

<file path=xl/styles.xml><?xml version="1.0" encoding="utf-8"?>
<styleSheet xmlns="http://schemas.openxmlformats.org/spreadsheetml/2006/main">
  <numFmts count="3">
    <numFmt numFmtId="180" formatCode="0.000"/>
    <numFmt numFmtId="181" formatCode="0.0"/>
    <numFmt numFmtId="182" formatCode="0.0000"/>
  </numFmts>
  <fonts count="5">
    <font>
      <sz val="10"/>
      <name val="Arial"/>
      <charset val="186"/>
    </font>
    <font>
      <sz val="8"/>
      <name val="Arial"/>
      <charset val="186"/>
    </font>
    <font>
      <sz val="10"/>
      <name val="Courier"/>
      <family val="1"/>
      <charset val="204"/>
    </font>
    <font>
      <sz val="10"/>
      <color indexed="10"/>
      <name val="Arial"/>
      <charset val="186"/>
    </font>
    <font>
      <sz val="10"/>
      <color indexed="10"/>
      <name val="Courie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2" borderId="0" xfId="0" applyFill="1"/>
    <xf numFmtId="1" fontId="0" fillId="2" borderId="0" xfId="0" applyNumberFormat="1" applyFill="1"/>
    <xf numFmtId="2" fontId="0" fillId="2" borderId="0" xfId="0" applyNumberFormat="1" applyFill="1"/>
    <xf numFmtId="0" fontId="0" fillId="0" borderId="0" xfId="0" applyFill="1"/>
    <xf numFmtId="1" fontId="0" fillId="3" borderId="0" xfId="0" applyNumberFormat="1" applyFill="1"/>
    <xf numFmtId="181" fontId="0" fillId="2" borderId="0" xfId="0" applyNumberFormat="1" applyFill="1"/>
    <xf numFmtId="180" fontId="0" fillId="0" borderId="0" xfId="0" applyNumberFormat="1" applyFill="1"/>
    <xf numFmtId="181" fontId="0" fillId="3" borderId="0" xfId="0" applyNumberFormat="1" applyFill="1"/>
    <xf numFmtId="0" fontId="0" fillId="4" borderId="0" xfId="0" applyFill="1"/>
    <xf numFmtId="181" fontId="0" fillId="5" borderId="0" xfId="0" applyNumberFormat="1" applyFill="1"/>
    <xf numFmtId="2" fontId="0" fillId="3" borderId="0" xfId="0" applyNumberFormat="1" applyFill="1"/>
    <xf numFmtId="182" fontId="0" fillId="2" borderId="0" xfId="0" applyNumberFormat="1" applyFill="1"/>
    <xf numFmtId="0" fontId="3" fillId="0" borderId="0" xfId="0" applyFont="1" applyFill="1"/>
    <xf numFmtId="2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selection activeCell="E5" sqref="E5"/>
    </sheetView>
  </sheetViews>
  <sheetFormatPr defaultRowHeight="12.75"/>
  <cols>
    <col min="1" max="1" width="9.7109375" customWidth="1"/>
    <col min="2" max="2" width="13.85546875" style="1" customWidth="1"/>
    <col min="3" max="3" width="47.7109375" customWidth="1"/>
    <col min="5" max="5" width="12.5703125" bestFit="1" customWidth="1"/>
    <col min="6" max="6" width="11.140625" customWidth="1"/>
    <col min="7" max="7" width="11" customWidth="1"/>
    <col min="8" max="8" width="10.85546875" customWidth="1"/>
    <col min="9" max="9" width="16.5703125" customWidth="1"/>
    <col min="10" max="10" width="13.42578125" customWidth="1"/>
  </cols>
  <sheetData>
    <row r="1" spans="1:7">
      <c r="C1" t="s">
        <v>78</v>
      </c>
    </row>
    <row r="3" spans="1:7">
      <c r="A3" t="s">
        <v>42</v>
      </c>
      <c r="B3" s="1" t="s">
        <v>85</v>
      </c>
    </row>
    <row r="5" spans="1:7">
      <c r="B5" s="1" t="s">
        <v>1</v>
      </c>
      <c r="C5" s="1" t="s">
        <v>11</v>
      </c>
      <c r="D5" t="s">
        <v>17</v>
      </c>
      <c r="E5">
        <v>35000</v>
      </c>
    </row>
    <row r="6" spans="1:7">
      <c r="B6" s="1" t="s">
        <v>2</v>
      </c>
      <c r="C6" s="1" t="s">
        <v>39</v>
      </c>
      <c r="D6" t="s">
        <v>17</v>
      </c>
      <c r="E6">
        <v>4500</v>
      </c>
    </row>
    <row r="7" spans="1:7">
      <c r="B7" s="1" t="s">
        <v>3</v>
      </c>
      <c r="C7" s="1" t="s">
        <v>12</v>
      </c>
      <c r="D7" t="s">
        <v>17</v>
      </c>
      <c r="E7">
        <v>16</v>
      </c>
      <c r="F7">
        <v>8</v>
      </c>
      <c r="G7">
        <v>4</v>
      </c>
    </row>
    <row r="8" spans="1:7">
      <c r="B8" s="1" t="s">
        <v>4</v>
      </c>
      <c r="C8" s="1" t="s">
        <v>19</v>
      </c>
      <c r="D8" t="s">
        <v>20</v>
      </c>
      <c r="E8">
        <v>0.15</v>
      </c>
    </row>
    <row r="9" spans="1:7">
      <c r="B9" s="1" t="s">
        <v>30</v>
      </c>
      <c r="C9" s="1" t="s">
        <v>31</v>
      </c>
      <c r="D9" t="s">
        <v>20</v>
      </c>
      <c r="E9">
        <v>0.08</v>
      </c>
    </row>
    <row r="10" spans="1:7">
      <c r="B10" s="1" t="s">
        <v>20</v>
      </c>
      <c r="C10" s="1" t="s">
        <v>86</v>
      </c>
      <c r="E10">
        <v>1</v>
      </c>
    </row>
    <row r="11" spans="1:7">
      <c r="B11" s="1" t="s">
        <v>35</v>
      </c>
      <c r="C11" s="1" t="s">
        <v>38</v>
      </c>
      <c r="D11" t="s">
        <v>36</v>
      </c>
      <c r="E11">
        <v>10</v>
      </c>
    </row>
    <row r="12" spans="1:7">
      <c r="B12" s="1" t="s">
        <v>50</v>
      </c>
      <c r="C12" s="1" t="s">
        <v>48</v>
      </c>
      <c r="E12">
        <v>0.9</v>
      </c>
    </row>
    <row r="13" spans="1:7">
      <c r="B13" s="1" t="s">
        <v>53</v>
      </c>
      <c r="C13" s="1" t="s">
        <v>54</v>
      </c>
      <c r="D13" t="s">
        <v>27</v>
      </c>
      <c r="E13">
        <v>25</v>
      </c>
    </row>
    <row r="14" spans="1:7">
      <c r="B14" s="1" t="s">
        <v>49</v>
      </c>
      <c r="D14" t="s">
        <v>17</v>
      </c>
      <c r="E14" s="2">
        <f>(1-E12)*E6</f>
        <v>449.99999999999989</v>
      </c>
    </row>
    <row r="15" spans="1:7">
      <c r="B15" s="1" t="s">
        <v>51</v>
      </c>
      <c r="C15" s="1" t="s">
        <v>57</v>
      </c>
      <c r="D15" t="s">
        <v>17</v>
      </c>
      <c r="E15" s="2">
        <f>0.35*E14</f>
        <v>157.49999999999994</v>
      </c>
    </row>
    <row r="16" spans="1:7">
      <c r="B16" s="1" t="s">
        <v>55</v>
      </c>
      <c r="C16" s="1" t="s">
        <v>56</v>
      </c>
      <c r="D16" t="s">
        <v>17</v>
      </c>
      <c r="E16" s="2">
        <f>E7*(E14-E15)/E6</f>
        <v>1.0399999999999998</v>
      </c>
      <c r="F16" s="2">
        <f>F7*(E14-E15)/E6</f>
        <v>0.51999999999999991</v>
      </c>
      <c r="G16" s="2">
        <f>G7*(E14-E15)/E6</f>
        <v>0.25999999999999995</v>
      </c>
    </row>
    <row r="17" spans="1:11">
      <c r="B17" s="1" t="s">
        <v>52</v>
      </c>
      <c r="C17" s="1" t="s">
        <v>87</v>
      </c>
      <c r="D17" t="s">
        <v>17</v>
      </c>
      <c r="E17" s="3">
        <f>(E5+E15)*(E6-E15)/(E10*(E5+E6))</f>
        <v>3865.0998417721521</v>
      </c>
    </row>
    <row r="18" spans="1:11">
      <c r="B18" s="1" t="s">
        <v>75</v>
      </c>
      <c r="C18" s="1" t="s">
        <v>74</v>
      </c>
      <c r="E18" s="13">
        <f>SQRT(E7/(E6*E12))</f>
        <v>6.2853936105470895E-2</v>
      </c>
      <c r="F18" s="13">
        <f>SQRT(F7/(E6*E12))</f>
        <v>4.4444444444444446E-2</v>
      </c>
      <c r="G18" s="13">
        <f>SQRT(G7/(E6*E12))</f>
        <v>3.1426968052735448E-2</v>
      </c>
    </row>
    <row r="19" spans="1:11">
      <c r="B19" s="1" t="s">
        <v>5</v>
      </c>
      <c r="C19" s="1" t="s">
        <v>13</v>
      </c>
      <c r="D19" t="s">
        <v>15</v>
      </c>
      <c r="E19" s="3">
        <f>SQRT((E7*E11))*(1+(E16/E7))/SQRT(E7/E6)</f>
        <v>225.92061658910194</v>
      </c>
      <c r="F19" s="3">
        <f>SQRT((F7*E11))*(1+(E16/F7))/SQRT(F7/E6)</f>
        <v>239.70919882223959</v>
      </c>
      <c r="G19" s="3">
        <f>SQRT((G7*E11))*(1+(E16/G7))/SQRT(G7/E6)</f>
        <v>267.28636328851502</v>
      </c>
    </row>
    <row r="20" spans="1:11">
      <c r="B20" s="1" t="s">
        <v>8</v>
      </c>
      <c r="C20" s="1" t="s">
        <v>24</v>
      </c>
      <c r="D20" t="s">
        <v>25</v>
      </c>
      <c r="E20" s="3">
        <f>E17/(2*3.14*E13)</f>
        <v>24.618470329758932</v>
      </c>
    </row>
    <row r="21" spans="1:11">
      <c r="C21" s="1"/>
      <c r="E21" s="5"/>
      <c r="H21" t="s">
        <v>88</v>
      </c>
    </row>
    <row r="22" spans="1:11">
      <c r="H22" t="s">
        <v>32</v>
      </c>
      <c r="I22" s="3">
        <f>4*SQRT(E11)</f>
        <v>12.649110640673518</v>
      </c>
      <c r="J22" t="s">
        <v>77</v>
      </c>
      <c r="K22" s="5"/>
    </row>
    <row r="23" spans="1:11">
      <c r="H23" t="s">
        <v>89</v>
      </c>
    </row>
    <row r="24" spans="1:11">
      <c r="B24"/>
      <c r="C24" s="1"/>
    </row>
    <row r="25" spans="1:11">
      <c r="A25" t="s">
        <v>43</v>
      </c>
      <c r="B25" s="1" t="s">
        <v>44</v>
      </c>
      <c r="C25" s="1"/>
    </row>
    <row r="26" spans="1:11">
      <c r="B26" t="s">
        <v>47</v>
      </c>
      <c r="C26" s="1"/>
      <c r="J26" t="s">
        <v>69</v>
      </c>
      <c r="K26" t="s">
        <v>64</v>
      </c>
    </row>
    <row r="27" spans="1:11">
      <c r="G27" s="1" t="s">
        <v>80</v>
      </c>
      <c r="J27" t="s">
        <v>84</v>
      </c>
    </row>
    <row r="28" spans="1:11">
      <c r="B28" s="1" t="s">
        <v>45</v>
      </c>
      <c r="C28" t="s">
        <v>46</v>
      </c>
      <c r="D28" t="s">
        <v>14</v>
      </c>
      <c r="E28">
        <v>13</v>
      </c>
      <c r="G28" s="2" t="s">
        <v>0</v>
      </c>
      <c r="H28" s="3">
        <f>180*SQRT(E11*E6)/E28</f>
        <v>2937.2127833902746</v>
      </c>
      <c r="I28" t="s">
        <v>62</v>
      </c>
      <c r="J28" s="7">
        <f>0.4*3.14*H28*H28*E28*E32/((1+E32*E48*0.1/E30)*E30*100000000)</f>
        <v>8.4603742203742218</v>
      </c>
      <c r="K28" s="11">
        <f>0.4*3.14*H28*H28*E28*E32/(E30*100000000)</f>
        <v>10.434461538461541</v>
      </c>
    </row>
    <row r="29" spans="1:11">
      <c r="B29" s="1" t="s">
        <v>6</v>
      </c>
      <c r="C29" s="1" t="s">
        <v>18</v>
      </c>
      <c r="D29" t="s">
        <v>14</v>
      </c>
      <c r="E29">
        <v>13</v>
      </c>
      <c r="G29" s="2" t="s">
        <v>0</v>
      </c>
      <c r="H29" s="3">
        <f>1.5*10000000*2*E19/E31/E13/E28</f>
        <v>2979.172966010136</v>
      </c>
      <c r="I29" t="s">
        <v>61</v>
      </c>
      <c r="J29" s="7">
        <f>0.4*3.14*H29*H29*E29*E32/((1+E32*E48*0.1/E30)*E30*100000000)</f>
        <v>8.7038258050829498</v>
      </c>
      <c r="K29" s="11">
        <f>0.4*3.14*H29*H29*E28*E32/(E30*100000000)</f>
        <v>10.73471849293564</v>
      </c>
    </row>
    <row r="30" spans="1:11">
      <c r="B30" s="1" t="s">
        <v>7</v>
      </c>
      <c r="C30" s="1" t="s">
        <v>21</v>
      </c>
      <c r="D30" t="s">
        <v>22</v>
      </c>
      <c r="E30">
        <v>27</v>
      </c>
      <c r="G30" s="2" t="s">
        <v>0</v>
      </c>
      <c r="H30" s="3">
        <f>E19*100000000/(4.44*E28*E13*E31)</f>
        <v>2236.6163408484499</v>
      </c>
      <c r="I30" t="s">
        <v>41</v>
      </c>
      <c r="J30" s="7">
        <f>0.4*3.14*H30*H30*E28*E32/((1+E32*E48*0.1/E30)*E30*100000000)</f>
        <v>4.9057085267040383</v>
      </c>
      <c r="K30" s="11">
        <f>0.4*3.14*H30*H30*E28*E32/(E30*100000000)</f>
        <v>6.0503738496016481</v>
      </c>
    </row>
    <row r="31" spans="1:11">
      <c r="B31" s="1" t="s">
        <v>10</v>
      </c>
      <c r="C31" s="1" t="s">
        <v>28</v>
      </c>
      <c r="D31" t="s">
        <v>29</v>
      </c>
      <c r="E31">
        <v>7000</v>
      </c>
      <c r="G31" s="2" t="s">
        <v>0</v>
      </c>
      <c r="H31" s="3">
        <f>SQRT(79700000*E20*E30/(E32*E28))</f>
        <v>4513.9308429404773</v>
      </c>
      <c r="I31" t="s">
        <v>63</v>
      </c>
      <c r="J31" s="7">
        <f>0.4*3.14*H31*H31*E28*E32/((1+E32*E48*0.1/E30)*E30*100000000)</f>
        <v>19.981521560383172</v>
      </c>
      <c r="K31" s="11">
        <f>0.4*3.14*H31*H31*E28*E32/(E30*100000000)</f>
        <v>24.64387659113925</v>
      </c>
    </row>
    <row r="32" spans="1:11">
      <c r="B32" s="1" t="s">
        <v>9</v>
      </c>
      <c r="C32" s="1" t="s">
        <v>26</v>
      </c>
      <c r="E32">
        <v>200</v>
      </c>
      <c r="G32" s="2" t="s">
        <v>60</v>
      </c>
      <c r="H32" s="3">
        <f>E20*E8*100000000/(E31*E28)</f>
        <v>4057.9896147954282</v>
      </c>
      <c r="I32" t="s">
        <v>59</v>
      </c>
      <c r="J32" s="7">
        <f>0.4*3.14*H32*H32*E28*E32/((1+E32*E48*0.1/E30)*E30*100000000)</f>
        <v>16.148813403406791</v>
      </c>
      <c r="K32" s="11">
        <f>0.4*3.14*H32*H32*E28*E32/(E30*100000000)</f>
        <v>19.916869864201715</v>
      </c>
    </row>
    <row r="33" spans="1:11">
      <c r="B33" s="1" t="s">
        <v>58</v>
      </c>
      <c r="C33" s="1" t="s">
        <v>23</v>
      </c>
      <c r="D33" t="s">
        <v>16</v>
      </c>
      <c r="E33">
        <v>20</v>
      </c>
    </row>
    <row r="34" spans="1:11">
      <c r="B34" s="1" t="s">
        <v>81</v>
      </c>
      <c r="C34" s="1" t="s">
        <v>82</v>
      </c>
      <c r="D34" t="s">
        <v>83</v>
      </c>
      <c r="E34" s="3">
        <f>E20*E9*E9*1000000</f>
        <v>157558.21011045718</v>
      </c>
      <c r="G34" t="s">
        <v>67</v>
      </c>
      <c r="H34" s="6">
        <f>SUM(H28:H32)/5</f>
        <v>3344.9845095969531</v>
      </c>
    </row>
    <row r="36" spans="1:11">
      <c r="C36" s="1"/>
      <c r="D36" s="14"/>
      <c r="E36" s="15"/>
    </row>
    <row r="37" spans="1:11">
      <c r="B37"/>
    </row>
    <row r="38" spans="1:11">
      <c r="J38" t="s">
        <v>84</v>
      </c>
    </row>
    <row r="39" spans="1:11">
      <c r="B39"/>
      <c r="C39" s="1"/>
      <c r="G39" t="s">
        <v>68</v>
      </c>
      <c r="H39" s="10">
        <v>4500</v>
      </c>
      <c r="I39" t="s">
        <v>37</v>
      </c>
      <c r="J39" s="6">
        <f>(E19*100000000)/(4.44*E28*20*H39)</f>
        <v>4348.9762183164312</v>
      </c>
      <c r="K39" t="s">
        <v>29</v>
      </c>
    </row>
    <row r="40" spans="1:11">
      <c r="B40"/>
      <c r="C40" s="1"/>
      <c r="I40" s="1" t="s">
        <v>40</v>
      </c>
      <c r="J40" s="6">
        <f>(E19*100000000)/(4.44*E28*30*H39)</f>
        <v>2899.31747887762</v>
      </c>
      <c r="K40" t="s">
        <v>29</v>
      </c>
    </row>
    <row r="41" spans="1:11">
      <c r="I41" t="s">
        <v>64</v>
      </c>
      <c r="J41" s="9">
        <f>0.4*3.14*H39*H39*E28*E32/((1+E32*E48*0.1/E30)*E30*100000000)</f>
        <v>19.858378378378379</v>
      </c>
      <c r="K41" t="s">
        <v>25</v>
      </c>
    </row>
    <row r="43" spans="1:11">
      <c r="G43" t="s">
        <v>79</v>
      </c>
    </row>
    <row r="44" spans="1:11">
      <c r="G44" t="s">
        <v>76</v>
      </c>
      <c r="H44" s="3">
        <f>H39*E18</f>
        <v>282.84271247461902</v>
      </c>
      <c r="I44" s="2">
        <f>E7</f>
        <v>16</v>
      </c>
      <c r="J44" t="s">
        <v>17</v>
      </c>
    </row>
    <row r="45" spans="1:11">
      <c r="H45" s="3">
        <f>H39*F18</f>
        <v>200</v>
      </c>
      <c r="I45" s="2">
        <f>F7</f>
        <v>8</v>
      </c>
      <c r="J45" t="s">
        <v>17</v>
      </c>
    </row>
    <row r="46" spans="1:11">
      <c r="H46" s="3">
        <f>H39*G18</f>
        <v>141.42135623730951</v>
      </c>
      <c r="I46" s="2">
        <f>G7</f>
        <v>4</v>
      </c>
      <c r="J46" t="s">
        <v>17</v>
      </c>
    </row>
    <row r="47" spans="1:11">
      <c r="E47" s="8"/>
    </row>
    <row r="48" spans="1:11">
      <c r="A48" t="s">
        <v>65</v>
      </c>
      <c r="B48" s="1" t="s">
        <v>34</v>
      </c>
      <c r="C48" s="1" t="s">
        <v>33</v>
      </c>
      <c r="D48" t="s">
        <v>71</v>
      </c>
      <c r="E48" s="12">
        <f>H39*E9*0.000875</f>
        <v>0.315</v>
      </c>
    </row>
    <row r="50" spans="1:7">
      <c r="A50" t="s">
        <v>66</v>
      </c>
      <c r="B50" s="1" t="s">
        <v>72</v>
      </c>
      <c r="C50" t="s">
        <v>70</v>
      </c>
      <c r="D50" t="s">
        <v>71</v>
      </c>
      <c r="E50" s="4">
        <f>SQRT((0.000223*H39*E33/E15))</f>
        <v>0.35697138740881107</v>
      </c>
    </row>
    <row r="51" spans="1:7">
      <c r="C51" t="s">
        <v>73</v>
      </c>
      <c r="D51" t="s">
        <v>71</v>
      </c>
      <c r="E51" s="4">
        <f>SQRT((0.000223*H44*E33/E16))</f>
        <v>1.1013446753317235</v>
      </c>
      <c r="F51" s="2">
        <f>I44</f>
        <v>16</v>
      </c>
      <c r="G51" t="s">
        <v>17</v>
      </c>
    </row>
    <row r="52" spans="1:7">
      <c r="E52" s="4">
        <f>SQRT((0.000223*H45*E33/F16))</f>
        <v>1.3097269239748475</v>
      </c>
      <c r="F52" s="2">
        <f>I45</f>
        <v>8</v>
      </c>
      <c r="G52" t="s">
        <v>17</v>
      </c>
    </row>
    <row r="53" spans="1:7">
      <c r="E53" s="4">
        <f>SQRT((0.000223*H46*E33/G16))</f>
        <v>1.5575365767015166</v>
      </c>
      <c r="F53" s="2">
        <f>I46</f>
        <v>4</v>
      </c>
      <c r="G53" t="s">
        <v>17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KSAN 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Windows User</cp:lastModifiedBy>
  <dcterms:created xsi:type="dcterms:W3CDTF">2012-11-27T07:21:23Z</dcterms:created>
  <dcterms:modified xsi:type="dcterms:W3CDTF">2022-10-20T05:48:46Z</dcterms:modified>
</cp:coreProperties>
</file>